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<sst xmlns="http://schemas.openxmlformats.org/spreadsheetml/2006/main" count="245" uniqueCount="104">
  <si>
    <t>Retaining Wall Stability (EC7)</t>
  </si>
  <si>
    <t>Cantilever retaining wall — overturning, sliding and bearing by Rankine active pressure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</si>
  <si>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</si>
  <si>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</si>
  <si>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</si>
  <si>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</si>
  <si>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</si>
  <si>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</si>
  <si>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</si>
  <si>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</si>
  <si>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</si>
  <si>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</si>
  <si>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</si>
  <si>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</si>
  <si>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</si>
  <si>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</si>
  <si>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</si>
  <si>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</si>
  <si>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Cantilever retaining wall — overturning, sliding and bearing by Rankine active pressure</t>
  </si>
  <si>
    <t>EngiMetric · https://engimetric.com</t>
  </si>
  <si>
    <t>Master verdict</t>
  </si>
  <si>
    <t>Key inputs</t>
  </si>
  <si>
    <t>Retained height</t>
  </si>
  <si>
    <t>m</t>
  </si>
  <si>
    <t>Base slab width</t>
  </si>
  <si>
    <t>Backfill unit weight</t>
  </si>
  <si>
    <t>kN/m³</t>
  </si>
  <si>
    <t>Backfill friction angle</t>
  </si>
  <si>
    <t>deg</t>
  </si>
  <si>
    <t>Allowable bearing pressure</t>
  </si>
  <si>
    <t>kPa</t>
  </si>
  <si>
    <t>Key outputs</t>
  </si>
  <si>
    <t>Factor of safety — overturning</t>
  </si>
  <si>
    <t>—</t>
  </si>
  <si>
    <t>Factor of safety — sliding</t>
  </si>
  <si>
    <t>Maximum bearing pressure</t>
  </si>
  <si>
    <t>Checks at a glance</t>
  </si>
  <si>
    <t>Overturning FS adequate</t>
  </si>
  <si>
    <t>Sliding FS adequate</t>
  </si>
  <si>
    <t>Bearing pressure ≤ allowable</t>
  </si>
  <si>
    <t>Version 0.1 · EngiMetric workbook library</t>
  </si>
  <si>
    <t>Inputs — yellow cells: enter your values; source prompts governing choices</t>
  </si>
  <si>
    <t>difference between finished levels</t>
  </si>
  <si>
    <t>Stem thickness</t>
  </si>
  <si>
    <t>section geometry</t>
  </si>
  <si>
    <t>layout</t>
  </si>
  <si>
    <t>Base slab thickness</t>
  </si>
  <si>
    <t>fill properties</t>
  </si>
  <si>
    <t>Surcharge</t>
  </si>
  <si>
    <t>traffic/storage loading</t>
  </si>
  <si>
    <t>Concrete unit weight</t>
  </si>
  <si>
    <t>reinforced concrete</t>
  </si>
  <si>
    <t>Base-soil friction factor</t>
  </si>
  <si>
    <t>typical 0.4–0.5 (verify geotechnical)</t>
  </si>
  <si>
    <t>geotechnical report</t>
  </si>
  <si>
    <t>Toe length (stem offset from toe)</t>
  </si>
  <si>
    <t>layout proportion of B</t>
  </si>
  <si>
    <t>Calculations — transparent formulas; [n] is the reference ID (see Reference sheet)</t>
  </si>
  <si>
    <t>Active pressure coefficient Ka</t>
  </si>
  <si>
    <t>[1] — Rankine, level backfill</t>
  </si>
  <si>
    <t>Active pressure at base (soil)</t>
  </si>
  <si>
    <t>[1]</t>
  </si>
  <si>
    <t>Active thrust (soil triangle)</t>
  </si>
  <si>
    <t>kN/m</t>
  </si>
  <si>
    <t>Active thrust (surcharge)</t>
  </si>
  <si>
    <t>Stem weight</t>
  </si>
  <si>
    <t>Base slab weight</t>
  </si>
  <si>
    <t>Heel length</t>
  </si>
  <si>
    <t>Heel backfill weight</t>
  </si>
  <si>
    <t>Stem moment arm</t>
  </si>
  <si>
    <t>Base moment arm</t>
  </si>
  <si>
    <t>Fill moment arm</t>
  </si>
  <si>
    <t>Restoring moment</t>
  </si>
  <si>
    <t>kN·m/m</t>
  </si>
  <si>
    <t>Overturning moment</t>
  </si>
  <si>
    <t>Vertical resultant</t>
  </si>
  <si>
    <t>[1] — passive and key ignored</t>
  </si>
  <si>
    <t>Resultant location from toe</t>
  </si>
  <si>
    <t>Eccentricity e</t>
  </si>
  <si>
    <t>Outputs — final results (formula-driven; never hard-typed)</t>
  </si>
  <si>
    <t>Checks — each row must land PASS (WARN acceptable when documented)</t>
  </si>
  <si>
    <t>≥ 1.5 (typical target)</t>
  </si>
  <si>
    <t>Resultant within middle third</t>
  </si>
  <si>
    <t>|e| ≤ B/6</t>
  </si>
  <si>
    <t>pmax ≤ qa</t>
  </si>
  <si>
    <t>Overall result</t>
  </si>
  <si>
    <t>PASS when every check passes</t>
  </si>
  <si>
    <t>References</t>
  </si>
  <si>
    <t>Rankine lateral earth pressure; standard retaining-wall texts (passive pressure and key neglected)</t>
  </si>
  <si>
    <t>Equations used</t>
  </si>
  <si>
    <t>Rankine active coefficient</t>
  </si>
  <si>
    <t>Ka = tan²(45 − φ/2)</t>
  </si>
  <si>
    <t>Stability</t>
  </si>
  <si>
    <t>FSo = Mr/Mo;  FSs = μ·Vr/Ph;  e = B/2 − (Mr−Mo)/Vr</t>
  </si>
  <si>
    <t>Bearing</t>
  </si>
  <si>
    <t>pmax = Vr/B·(1 + 6e/B) (e ≤ B/6)</t>
  </si>
  <si>
    <t>Notes &amp; Assumptions</t>
  </si>
  <si>
    <t>1. Stability screening only — stem and base flexure, shear, crack control and settlement are separate checks.</t>
  </si>
  <si>
    <t>2. FS targets (1.5) are informative typical values; your governing code defines required minimums.</t>
  </si>
  <si>
    <t>3. Geometry assumed: constant stem thickness, heel soil to top of stem; passive pressure and base key ignored.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</si>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</sst>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3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Checks!$C$8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4</v>
      </c>
      <c r="C7" s="11" t="s">
        <v>23</v>
      </c>
      <c r="D7" s="10"/>
    </row>
    <row r="8" spans="1:4" x14ac:dyDescent="0.25">
      <c r="A8" s="11" t="s">
        <v>24</v>
      </c>
      <c r="B8" s="12">
        <f>Inputs!$B$5</f>
        <v>3.2</v>
      </c>
      <c r="C8" s="11" t="s">
        <v>23</v>
      </c>
      <c r="D8" s="10"/>
    </row>
    <row r="9" spans="1:4" x14ac:dyDescent="0.25">
      <c r="A9" s="11" t="s">
        <v>25</v>
      </c>
      <c r="B9" s="12">
        <f>Inputs!$B$7</f>
        <v>18</v>
      </c>
      <c r="C9" s="11" t="s">
        <v>26</v>
      </c>
      <c r="D9" s="10"/>
    </row>
    <row r="10" spans="1:4" x14ac:dyDescent="0.25">
      <c r="A10" s="11" t="s">
        <v>27</v>
      </c>
      <c r="B10" s="12">
        <f>Inputs!$B$8</f>
        <v>30</v>
      </c>
      <c r="C10" s="11" t="s">
        <v>28</v>
      </c>
      <c r="D10" s="10"/>
    </row>
    <row r="11" spans="1:4" x14ac:dyDescent="0.25">
      <c r="A11" s="11" t="s">
        <v>29</v>
      </c>
      <c r="B11" s="12">
        <f>Inputs!$B$12</f>
        <v>180</v>
      </c>
      <c r="C11" s="11" t="s">
        <v>30</v>
      </c>
      <c r="D11" s="10"/>
    </row>
    <row r="13" ht="22" customHeight="1" spans="1:4" x14ac:dyDescent="0.25">
      <c r="A13" s="4" t="s">
        <v>31</v>
      </c>
      <c r="B13" s="4"/>
      <c r="C13" s="4"/>
      <c r="D13" s="4"/>
    </row>
    <row r="14" spans="1:4" x14ac:dyDescent="0.25">
      <c r="A14" s="11" t="s">
        <v>32</v>
      </c>
      <c r="B14" s="12">
        <f>Outputs!$B$3</f>
        <v>3.6576993193971807</v>
      </c>
      <c r="C14" s="11" t="s">
        <v>33</v>
      </c>
      <c r="D14" s="10"/>
    </row>
    <row r="15" spans="1:4" x14ac:dyDescent="0.25">
      <c r="A15" s="11" t="s">
        <v>34</v>
      </c>
      <c r="B15" s="12">
        <f>Outputs!$B$4</f>
        <v>1.5420948616600791</v>
      </c>
      <c r="C15" s="11" t="s">
        <v>33</v>
      </c>
      <c r="D15" s="10"/>
    </row>
    <row r="16" spans="1:4" x14ac:dyDescent="0.25">
      <c r="A16" s="11" t="s">
        <v>35</v>
      </c>
      <c r="B16" s="12">
        <f>Outputs!$B$5</f>
        <v>89.25976562499999</v>
      </c>
      <c r="C16" s="11" t="s">
        <v>30</v>
      </c>
      <c r="D16" s="10"/>
    </row>
    <row r="18" ht="22" customHeight="1" spans="1:4" x14ac:dyDescent="0.25">
      <c r="A18" s="4" t="s">
        <v>36</v>
      </c>
      <c r="B18" s="4"/>
      <c r="C18" s="4"/>
      <c r="D18" s="4"/>
    </row>
    <row r="19" spans="1:4" x14ac:dyDescent="0.25">
      <c r="A19" s="11" t="s">
        <v>37</v>
      </c>
      <c r="B19" s="12" t="str">
        <f>Checks!$C$3</f>
        <v>PASS</v>
      </c>
      <c r="C19" s="11" t="s">
        <v>5</v>
      </c>
      <c r="D19" s="10"/>
    </row>
    <row r="20" spans="1:4" x14ac:dyDescent="0.25">
      <c r="A20" s="11" t="s">
        <v>38</v>
      </c>
      <c r="B20" s="12" t="str">
        <f>Checks!$C$4</f>
        <v>PASS</v>
      </c>
      <c r="C20" s="11" t="s">
        <v>5</v>
      </c>
      <c r="D20" s="10"/>
    </row>
    <row r="21" spans="1:4" x14ac:dyDescent="0.25">
      <c r="A21" s="11" t="s">
        <v>39</v>
      </c>
      <c r="B21" s="12" t="str">
        <f>Checks!$C$5</f>
        <v>PASS</v>
      </c>
      <c r="C21" s="11" t="s">
        <v>5</v>
      </c>
      <c r="D21" s="10"/>
    </row>
    <row r="23" spans="1:3" x14ac:dyDescent="0.25">
      <c r="A23" s="6" t="s">
        <v>40</v>
      </c>
    </row>
  </sheetData>
  <mergeCells count="3">
    <mergeCell ref="A6:D6"/>
    <mergeCell ref="A13:D13"/>
    <mergeCell ref="A18:D18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3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41</v>
      </c>
      <c r="B2" s="4"/>
      <c r="C2" s="4"/>
      <c r="D2" s="4"/>
    </row>
    <row r="3" spans="1:4" x14ac:dyDescent="0.25">
      <c r="A3" s="13" t="s">
        <v>22</v>
      </c>
      <c r="B3" s="14">
        <v>4</v>
      </c>
      <c r="C3" s="15" t="s">
        <v>23</v>
      </c>
      <c r="D3" s="16" t="s">
        <v>42</v>
      </c>
    </row>
    <row r="4" spans="1:4" x14ac:dyDescent="0.25">
      <c r="A4" s="13" t="s">
        <v>43</v>
      </c>
      <c r="B4" s="14">
        <v>0.35</v>
      </c>
      <c r="C4" s="15" t="s">
        <v>23</v>
      </c>
      <c r="D4" s="16" t="s">
        <v>44</v>
      </c>
    </row>
    <row r="5" spans="1:4" x14ac:dyDescent="0.25">
      <c r="A5" s="13" t="s">
        <v>24</v>
      </c>
      <c r="B5" s="14">
        <v>3.2</v>
      </c>
      <c r="C5" s="15" t="s">
        <v>23</v>
      </c>
      <c r="D5" s="16" t="s">
        <v>45</v>
      </c>
    </row>
    <row r="6" spans="1:4" x14ac:dyDescent="0.25">
      <c r="A6" s="13" t="s">
        <v>46</v>
      </c>
      <c r="B6" s="14">
        <v>0.4</v>
      </c>
      <c r="C6" s="15" t="s">
        <v>23</v>
      </c>
      <c r="D6" s="16" t="s">
        <v>44</v>
      </c>
    </row>
    <row r="7" spans="1:4" x14ac:dyDescent="0.25">
      <c r="A7" s="13" t="s">
        <v>25</v>
      </c>
      <c r="B7" s="14">
        <v>18</v>
      </c>
      <c r="C7" s="15" t="s">
        <v>26</v>
      </c>
      <c r="D7" s="16" t="s">
        <v>47</v>
      </c>
    </row>
    <row r="8" spans="1:4" x14ac:dyDescent="0.25">
      <c r="A8" s="13" t="s">
        <v>27</v>
      </c>
      <c r="B8" s="14">
        <v>30</v>
      </c>
      <c r="C8" s="15" t="s">
        <v>28</v>
      </c>
      <c r="D8" s="16" t="s">
        <v>47</v>
      </c>
    </row>
    <row r="9" spans="1:4" x14ac:dyDescent="0.25">
      <c r="A9" s="13" t="s">
        <v>48</v>
      </c>
      <c r="B9" s="14">
        <v>10</v>
      </c>
      <c r="C9" s="15" t="s">
        <v>30</v>
      </c>
      <c r="D9" s="16" t="s">
        <v>49</v>
      </c>
    </row>
    <row r="10" spans="1:4" x14ac:dyDescent="0.25">
      <c r="A10" s="13" t="s">
        <v>50</v>
      </c>
      <c r="B10" s="14">
        <v>24</v>
      </c>
      <c r="C10" s="15" t="s">
        <v>26</v>
      </c>
      <c r="D10" s="16" t="s">
        <v>51</v>
      </c>
    </row>
    <row r="11" spans="1:4" x14ac:dyDescent="0.25">
      <c r="A11" s="13" t="s">
        <v>52</v>
      </c>
      <c r="B11" s="14">
        <v>0.5</v>
      </c>
      <c r="C11" s="15" t="s">
        <v>33</v>
      </c>
      <c r="D11" s="16" t="s">
        <v>53</v>
      </c>
    </row>
    <row r="12" spans="1:4" x14ac:dyDescent="0.25">
      <c r="A12" s="13" t="s">
        <v>29</v>
      </c>
      <c r="B12" s="14">
        <v>180</v>
      </c>
      <c r="C12" s="15" t="s">
        <v>30</v>
      </c>
      <c r="D12" s="16" t="s">
        <v>54</v>
      </c>
    </row>
    <row r="13" spans="1:4" x14ac:dyDescent="0.25">
      <c r="A13" s="13" t="s">
        <v>55</v>
      </c>
      <c r="B13" s="14">
        <v>0.9</v>
      </c>
      <c r="C13" s="15" t="s">
        <v>23</v>
      </c>
      <c r="D13" s="16" t="s">
        <v>56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57</v>
      </c>
      <c r="B2" s="4"/>
      <c r="C2" s="4"/>
      <c r="D2" s="4"/>
    </row>
    <row r="3" spans="1:4" x14ac:dyDescent="0.25">
      <c r="A3" s="11" t="s">
        <v>58</v>
      </c>
      <c r="B3" s="17">
        <f>(TAN(RADIANS(45-Inputs!$B$8/2)))^2</f>
        <v>0.3333333333333333</v>
      </c>
      <c r="C3" s="11" t="s">
        <v>33</v>
      </c>
      <c r="D3" s="16" t="s">
        <v>59</v>
      </c>
    </row>
    <row r="4" spans="1:4" x14ac:dyDescent="0.25">
      <c r="A4" s="11" t="s">
        <v>60</v>
      </c>
      <c r="B4" s="17">
        <f>Calculations!$B$3*Inputs!$B$7*Inputs!$B$3</f>
        <v>24</v>
      </c>
      <c r="C4" s="11" t="s">
        <v>30</v>
      </c>
      <c r="D4" s="16" t="s">
        <v>61</v>
      </c>
    </row>
    <row r="5" spans="1:4" x14ac:dyDescent="0.25">
      <c r="A5" s="11" t="s">
        <v>62</v>
      </c>
      <c r="B5" s="17">
        <f>0.5*Calculations!$B$4*(Inputs!$B$3+Inputs!$B$6)</f>
        <v>52.800000000000004</v>
      </c>
      <c r="C5" s="11" t="s">
        <v>63</v>
      </c>
      <c r="D5" s="16" t="s">
        <v>61</v>
      </c>
    </row>
    <row r="6" spans="1:4" x14ac:dyDescent="0.25">
      <c r="A6" s="11" t="s">
        <v>64</v>
      </c>
      <c r="B6" s="17">
        <f>Calculations!$B$3*Inputs!$B$9*(Inputs!$B$3+Inputs!$B$6)</f>
        <v>14.666666666666666</v>
      </c>
      <c r="C6" s="11" t="s">
        <v>63</v>
      </c>
      <c r="D6" s="16" t="s">
        <v>61</v>
      </c>
    </row>
    <row r="7" spans="1:4" x14ac:dyDescent="0.25">
      <c r="A7" s="11" t="s">
        <v>65</v>
      </c>
      <c r="B7" s="17">
        <f>Inputs!$B$4*(Inputs!$B$3+Inputs!$B$6)*Inputs!$B$10</f>
        <v>36.96</v>
      </c>
      <c r="C7" s="11" t="s">
        <v>63</v>
      </c>
      <c r="D7" s="16" t="s">
        <v>61</v>
      </c>
    </row>
    <row r="8" spans="1:4" x14ac:dyDescent="0.25">
      <c r="A8" s="11" t="s">
        <v>66</v>
      </c>
      <c r="B8" s="17">
        <f>Inputs!$B$5*Inputs!$B$6*Inputs!$B$10</f>
        <v>30.720000000000006</v>
      </c>
      <c r="C8" s="11" t="s">
        <v>63</v>
      </c>
      <c r="D8" s="16" t="s">
        <v>61</v>
      </c>
    </row>
    <row r="9" spans="1:4" x14ac:dyDescent="0.25">
      <c r="A9" s="11" t="s">
        <v>67</v>
      </c>
      <c r="B9" s="17">
        <f>Inputs!$B$5-Inputs!$B$13-Inputs!$B$4</f>
        <v>1.9500000000000002</v>
      </c>
      <c r="C9" s="11" t="s">
        <v>23</v>
      </c>
      <c r="D9" s="16" t="s">
        <v>61</v>
      </c>
    </row>
    <row r="10" spans="1:4" x14ac:dyDescent="0.25">
      <c r="A10" s="11" t="s">
        <v>68</v>
      </c>
      <c r="B10" s="17">
        <f>Calculations!$B$9*Inputs!$B$3*Inputs!$B$7</f>
        <v>140.4</v>
      </c>
      <c r="C10" s="11" t="s">
        <v>63</v>
      </c>
      <c r="D10" s="16" t="s">
        <v>61</v>
      </c>
    </row>
    <row r="11" spans="1:4" x14ac:dyDescent="0.25">
      <c r="A11" s="11" t="s">
        <v>69</v>
      </c>
      <c r="B11" s="17">
        <f>Inputs!$B$13+Inputs!$B$4/2</f>
        <v>1.075</v>
      </c>
      <c r="C11" s="11" t="s">
        <v>23</v>
      </c>
      <c r="D11" s="16" t="s">
        <v>61</v>
      </c>
    </row>
    <row r="12" spans="1:4" x14ac:dyDescent="0.25">
      <c r="A12" s="11" t="s">
        <v>70</v>
      </c>
      <c r="B12" s="17">
        <f>Inputs!$B$5/2</f>
        <v>1.6</v>
      </c>
      <c r="C12" s="11" t="s">
        <v>23</v>
      </c>
      <c r="D12" s="16" t="s">
        <v>61</v>
      </c>
    </row>
    <row r="13" spans="1:4" x14ac:dyDescent="0.25">
      <c r="A13" s="11" t="s">
        <v>71</v>
      </c>
      <c r="B13" s="17">
        <f>Inputs!$B$13+Inputs!$B$4+Calculations!$B$9/2</f>
        <v>2.225</v>
      </c>
      <c r="C13" s="11" t="s">
        <v>23</v>
      </c>
      <c r="D13" s="16" t="s">
        <v>61</v>
      </c>
    </row>
    <row r="14" spans="1:4" x14ac:dyDescent="0.25">
      <c r="A14" s="11" t="s">
        <v>72</v>
      </c>
      <c r="B14" s="17">
        <f>Calculations!$B$7*Calculations!$B$11+Calculations!$B$8*Calculations!$B$12+Calculations!$B$10*Calculations!$B$13</f>
        <v>401.27400000000006</v>
      </c>
      <c r="C14" s="11" t="s">
        <v>73</v>
      </c>
      <c r="D14" s="16" t="s">
        <v>61</v>
      </c>
    </row>
    <row r="15" spans="1:4" x14ac:dyDescent="0.25">
      <c r="A15" s="11" t="s">
        <v>74</v>
      </c>
      <c r="B15" s="17">
        <f>Calculations!$B$5*(Inputs!$B$3+Inputs!$B$6)/3+Calculations!$B$6*(Inputs!$B$3+Inputs!$B$6)/2</f>
        <v>109.70666666666668</v>
      </c>
      <c r="C15" s="11" t="s">
        <v>73</v>
      </c>
      <c r="D15" s="16" t="s">
        <v>61</v>
      </c>
    </row>
    <row r="16" spans="1:4" x14ac:dyDescent="0.25">
      <c r="A16" s="11" t="s">
        <v>75</v>
      </c>
      <c r="B16" s="17">
        <f>Calculations!$B$7+Calculations!$B$8+Calculations!$B$10</f>
        <v>208.08</v>
      </c>
      <c r="C16" s="11" t="s">
        <v>63</v>
      </c>
      <c r="D16" s="16" t="s">
        <v>61</v>
      </c>
    </row>
    <row r="17" spans="1:4" x14ac:dyDescent="0.25">
      <c r="A17" s="11" t="s">
        <v>32</v>
      </c>
      <c r="B17" s="17">
        <f>Calculations!$B$14/Calculations!$B$15</f>
        <v>3.6576993193971807</v>
      </c>
      <c r="C17" s="11" t="s">
        <v>33</v>
      </c>
      <c r="D17" s="16" t="s">
        <v>61</v>
      </c>
    </row>
    <row r="18" spans="1:4" x14ac:dyDescent="0.25">
      <c r="A18" s="11" t="s">
        <v>34</v>
      </c>
      <c r="B18" s="17">
        <f>Inputs!$B$11*Calculations!$B$16/(Calculations!$B$5+Calculations!$B$6)</f>
        <v>1.5420948616600791</v>
      </c>
      <c r="C18" s="11" t="s">
        <v>33</v>
      </c>
      <c r="D18" s="16" t="s">
        <v>76</v>
      </c>
    </row>
    <row r="19" spans="1:4" x14ac:dyDescent="0.25">
      <c r="A19" s="11" t="s">
        <v>77</v>
      </c>
      <c r="B19" s="17">
        <f>(Calculations!$B$14-Calculations!$B$15)/Calculations!$B$16</f>
        <v>1.4012270921440475</v>
      </c>
      <c r="C19" s="11" t="s">
        <v>23</v>
      </c>
      <c r="D19" s="16" t="s">
        <v>61</v>
      </c>
    </row>
    <row r="20" spans="1:4" x14ac:dyDescent="0.25">
      <c r="A20" s="11" t="s">
        <v>78</v>
      </c>
      <c r="B20" s="17">
        <f>Inputs!$B$5/2-Calculations!$B$19</f>
        <v>0.19877290785595259</v>
      </c>
      <c r="C20" s="11" t="s">
        <v>23</v>
      </c>
      <c r="D20" s="16" t="s">
        <v>61</v>
      </c>
    </row>
    <row r="21" spans="1:4" x14ac:dyDescent="0.25">
      <c r="A21" s="11" t="s">
        <v>35</v>
      </c>
      <c r="B21" s="17">
        <f>Calculations!$B$16/Inputs!$B$5*(1+6*Calculations!$B$20/Inputs!$B$5)</f>
        <v>89.25976562499999</v>
      </c>
      <c r="C21" s="11" t="s">
        <v>30</v>
      </c>
      <c r="D21" s="16" t="s">
        <v>61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79</v>
      </c>
      <c r="B2" s="4"/>
      <c r="C2" s="4"/>
      <c r="D2" s="4"/>
    </row>
    <row r="3" spans="1:4" x14ac:dyDescent="0.25">
      <c r="A3" s="8" t="s">
        <v>32</v>
      </c>
      <c r="B3" s="18">
        <f>Calculations!$B$17</f>
        <v>3.6576993193971807</v>
      </c>
      <c r="C3" s="11" t="s">
        <v>33</v>
      </c>
      <c r="D3" s="16" t="s">
        <v>61</v>
      </c>
    </row>
    <row r="4" spans="1:4" x14ac:dyDescent="0.25">
      <c r="A4" s="8" t="s">
        <v>34</v>
      </c>
      <c r="B4" s="18">
        <f>Calculations!$B$18</f>
        <v>1.5420948616600791</v>
      </c>
      <c r="C4" s="11" t="s">
        <v>33</v>
      </c>
      <c r="D4" s="16" t="s">
        <v>61</v>
      </c>
    </row>
    <row r="5" spans="1:4" x14ac:dyDescent="0.25">
      <c r="A5" s="8" t="s">
        <v>35</v>
      </c>
      <c r="B5" s="18">
        <f>Calculations!$B$21</f>
        <v>89.25976562499999</v>
      </c>
      <c r="C5" s="11" t="s">
        <v>30</v>
      </c>
      <c r="D5" s="16" t="s">
        <v>61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80</v>
      </c>
      <c r="B2" s="4"/>
      <c r="C2" s="4"/>
      <c r="D2" s="4"/>
    </row>
    <row r="3" spans="1:4" x14ac:dyDescent="0.25">
      <c r="A3" s="13" t="s">
        <v>37</v>
      </c>
      <c r="B3" s="19" t="s">
        <v>81</v>
      </c>
      <c r="C3" s="20" t="str">
        <f>IF(Calculations!$B$17&gt;=1.5,"PASS","FAIL")</f>
        <v>PASS</v>
      </c>
      <c r="D3" s="21" t="s">
        <v>61</v>
      </c>
    </row>
    <row r="4" spans="1:4" x14ac:dyDescent="0.25">
      <c r="A4" s="13" t="s">
        <v>38</v>
      </c>
      <c r="B4" s="19" t="s">
        <v>81</v>
      </c>
      <c r="C4" s="20" t="str">
        <f>IF(Calculations!$B$18&gt;=1.5,"PASS","FAIL")</f>
        <v>PASS</v>
      </c>
      <c r="D4" s="21" t="s">
        <v>61</v>
      </c>
    </row>
    <row r="5" spans="1:4" x14ac:dyDescent="0.25">
      <c r="A5" s="13" t="s">
        <v>82</v>
      </c>
      <c r="B5" s="19" t="s">
        <v>83</v>
      </c>
      <c r="C5" s="20" t="str">
        <f>IF(ABS(Calculations!$B$20)&lt;=Inputs!$B$5/6,"PASS","WARN")</f>
        <v>PASS</v>
      </c>
      <c r="D5" s="21" t="s">
        <v>61</v>
      </c>
    </row>
    <row r="6" spans="1:4" x14ac:dyDescent="0.25">
      <c r="A6" s="13" t="s">
        <v>39</v>
      </c>
      <c r="B6" s="19" t="s">
        <v>84</v>
      </c>
      <c r="C6" s="20" t="str">
        <f>IF(Calculations!$B$21&lt;=Inputs!$B$12,"PASS","FAIL")</f>
        <v>PASS</v>
      </c>
      <c r="D6" s="21" t="s">
        <v>61</v>
      </c>
    </row>
    <row r="7" ht="22" customHeight="1" spans="1:4" x14ac:dyDescent="0.25">
      <c r="A7" s="4" t="s">
        <v>20</v>
      </c>
      <c r="B7" s="4"/>
      <c r="C7" s="4"/>
      <c r="D7" s="4"/>
    </row>
    <row r="8" spans="1:4" x14ac:dyDescent="0.25">
      <c r="A8" s="22" t="s">
        <v>85</v>
      </c>
      <c r="B8" s="11" t="s">
        <v>86</v>
      </c>
      <c r="C8" s="23" t="str">
        <f>IF(OR($C$3="FAIL",$C$4="FAIL",$C$5="FAIL",$C$6="FAIL"),"FAIL",IF(OR($C$3="WARN",$C$4="WARN",$C$5="WARN",$C$6="WARN"),"WARN","PASS"))</f>
        <v>PASS</v>
      </c>
      <c r="D8" s="10"/>
    </row>
  </sheetData>
  <mergeCells count="2">
    <mergeCell ref="A2:D2"/>
    <mergeCell ref="A7:D7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87</v>
      </c>
      <c r="B2" s="4"/>
      <c r="C2" s="4"/>
      <c r="D2" s="4"/>
    </row>
    <row r="3" spans="1:4" x14ac:dyDescent="0.25">
      <c r="A3" s="5" t="s">
        <v>61</v>
      </c>
      <c r="B3" s="5" t="s">
        <v>88</v>
      </c>
      <c r="C3" s="5" t="s">
        <v>5</v>
      </c>
      <c r="D3" s="5" t="s">
        <v>5</v>
      </c>
    </row>
    <row r="5" ht="22" customHeight="1" spans="1:4" x14ac:dyDescent="0.25">
      <c r="A5" s="4" t="s">
        <v>89</v>
      </c>
      <c r="B5" s="4"/>
      <c r="C5" s="4"/>
      <c r="D5" s="4"/>
    </row>
    <row r="6" spans="1:4" x14ac:dyDescent="0.25">
      <c r="A6" s="5" t="s">
        <v>90</v>
      </c>
      <c r="B6" s="5" t="s">
        <v>91</v>
      </c>
      <c r="C6" s="5" t="s">
        <v>5</v>
      </c>
      <c r="D6" s="5" t="s">
        <v>5</v>
      </c>
    </row>
    <row r="7" spans="1:4" x14ac:dyDescent="0.25">
      <c r="A7" s="5" t="s">
        <v>92</v>
      </c>
      <c r="B7" s="5" t="s">
        <v>93</v>
      </c>
      <c r="C7" s="5" t="s">
        <v>5</v>
      </c>
      <c r="D7" s="5" t="s">
        <v>5</v>
      </c>
    </row>
    <row r="8" spans="1:4" x14ac:dyDescent="0.25">
      <c r="A8" s="5" t="s">
        <v>94</v>
      </c>
      <c r="B8" s="5" t="s">
        <v>95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96</v>
      </c>
      <c r="B2" s="4"/>
      <c r="C2" s="4"/>
      <c r="D2" s="4"/>
    </row>
    <row r="3" spans="1:4" x14ac:dyDescent="0.25">
      <c r="A3" s="5" t="s">
        <v>97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98</v>
      </c>
      <c r="B4" s="5" t="s">
        <v>5</v>
      </c>
      <c r="C4" s="5" t="s">
        <v>5</v>
      </c>
      <c r="D4" s="5" t="s">
        <v>5</v>
      </c>
    </row>
    <row r="5" spans="1:4" x14ac:dyDescent="0.25">
      <c r="A5" s="5" t="s">
        <v>99</v>
      </c>
      <c r="B5" s="5" t="s">
        <v>5</v>
      </c>
      <c r="C5" s="5" t="s">
        <v>5</v>
      </c>
      <c r="D5" s="5" t="s">
        <v>5</v>
      </c>
    </row>
    <row r="7" ht="22" customHeight="1" spans="1:4" x14ac:dyDescent="0.25">
      <c r="A7" s="4" t="s">
        <v>100</v>
      </c>
      <c r="B7" s="4"/>
      <c r="C7" s="4"/>
      <c r="D7" s="4"/>
    </row>
    <row r="8" spans="1:4" x14ac:dyDescent="0.25">
      <c r="A8" s="5" t="s">
        <v>101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102</v>
      </c>
      <c r="B9" s="5" t="s">
        <v>5</v>
      </c>
      <c r="C9" s="5" t="s">
        <v>5</v>
      </c>
      <c r="D9" s="5" t="s">
        <v>5</v>
      </c>
    </row>
    <row r="10" spans="1:4" x14ac:dyDescent="0.25">
      <c r="A10" s="5" t="s">
        <v>103</v>
      </c>
      <c r="B10" s="5" t="s">
        <v>5</v>
      </c>
      <c r="C10" s="5" t="s">
        <v>5</v>
      </c>
      <c r="D10" s="5" t="s">
        <v>5</v>
      </c>
    </row>
  </sheetData>
  <mergeCells count="2">
    <mergeCell ref="A2:D2"/>
    <mergeCell ref="A7:D7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Retaining Wall Stability (EC7)</dc:title>
  <dc:subject>Structural engineering workbook</dc:subject>
  <dc:description>External stability of a gravity or cantilever retaining wall: sliding, overturning, bearing.</dc:description>
  <cp:keywords>retaining wall, stability, sliding, overturning, ec7, earth pressure,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